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filterPrivacy="1" defaultThemeVersion="124226"/>
  <bookViews>
    <workbookView xWindow="240" yWindow="105" windowWidth="14805" windowHeight="8010" tabRatio="805" activeTab="2"/>
  </bookViews>
  <sheets>
    <sheet name="MATKA" sheetId="1" r:id="rId1"/>
    <sheet name="KONRADOWO" sheetId="4" r:id="rId2"/>
    <sheet name="NOWY CIECHOCINEK" sheetId="5" r:id="rId3"/>
    <sheet name="OPOKI-GRABIE" sheetId="7" r:id="rId4"/>
    <sheet name="OSTROWĄS-PRZYBRANOWO" sheetId="8" r:id="rId5"/>
    <sheet name="PLEBANKA-SŁOMKOWO" sheetId="9" r:id="rId6"/>
    <sheet name="POCZAŁKOWO-PININO" sheetId="10" r:id="rId7"/>
  </sheets>
  <calcPr calcId="162913"/>
</workbook>
</file>

<file path=xl/calcChain.xml><?xml version="1.0" encoding="utf-8"?>
<calcChain xmlns="http://schemas.openxmlformats.org/spreadsheetml/2006/main">
  <c r="E8" i="4" l="1"/>
  <c r="E6" i="4"/>
  <c r="E7" i="4" s="1"/>
  <c r="E4" i="4"/>
  <c r="E5" i="4" s="1"/>
  <c r="E12" i="10" l="1"/>
  <c r="E9" i="10"/>
  <c r="E10" i="10" s="1"/>
  <c r="F10" i="10"/>
  <c r="F7" i="8"/>
  <c r="G7" i="8" s="1"/>
  <c r="F8" i="5"/>
  <c r="F7" i="4"/>
  <c r="G7" i="4" s="1"/>
  <c r="F10" i="9"/>
  <c r="F11" i="7"/>
  <c r="G11" i="7" s="1"/>
  <c r="E7" i="8"/>
  <c r="G10" i="10" l="1"/>
  <c r="E4" i="10"/>
  <c r="E12" i="9" l="1"/>
  <c r="E9" i="8"/>
  <c r="E12" i="7"/>
  <c r="E10" i="5"/>
  <c r="F14" i="10" l="1"/>
  <c r="E14" i="10"/>
  <c r="F13" i="10"/>
  <c r="E13" i="10"/>
  <c r="F12" i="10"/>
  <c r="G12" i="10" s="1"/>
  <c r="F11" i="10"/>
  <c r="G11" i="10" s="1"/>
  <c r="F9" i="10"/>
  <c r="G9" i="10" s="1"/>
  <c r="F8" i="10"/>
  <c r="E8" i="10"/>
  <c r="E15" i="10" s="1"/>
  <c r="F7" i="10"/>
  <c r="G7" i="10" s="1"/>
  <c r="F6" i="10"/>
  <c r="G6" i="10" s="1"/>
  <c r="F5" i="10"/>
  <c r="G5" i="10" s="1"/>
  <c r="F4" i="10"/>
  <c r="G4" i="10" s="1"/>
  <c r="A1" i="10"/>
  <c r="E13" i="9"/>
  <c r="E9" i="9"/>
  <c r="E8" i="9"/>
  <c r="E6" i="9"/>
  <c r="E10" i="9" s="1"/>
  <c r="G10" i="9" s="1"/>
  <c r="F13" i="9"/>
  <c r="F12" i="9"/>
  <c r="F11" i="9"/>
  <c r="F9" i="9"/>
  <c r="F8" i="9"/>
  <c r="F7" i="9"/>
  <c r="G7" i="9" s="1"/>
  <c r="F6" i="9"/>
  <c r="F5" i="9"/>
  <c r="E5" i="9"/>
  <c r="E14" i="9" s="1"/>
  <c r="F4" i="9"/>
  <c r="G4" i="9" s="1"/>
  <c r="A1" i="9"/>
  <c r="F11" i="8"/>
  <c r="E11" i="8"/>
  <c r="F10" i="8"/>
  <c r="E10" i="8"/>
  <c r="F9" i="8"/>
  <c r="G9" i="8" s="1"/>
  <c r="F8" i="8"/>
  <c r="G8" i="8" s="1"/>
  <c r="F6" i="8"/>
  <c r="G6" i="8" s="1"/>
  <c r="F5" i="8"/>
  <c r="E5" i="8"/>
  <c r="E12" i="8" s="1"/>
  <c r="F4" i="8"/>
  <c r="G4" i="8" s="1"/>
  <c r="A1" i="8"/>
  <c r="E6" i="7"/>
  <c r="E10" i="7" s="1"/>
  <c r="F14" i="7"/>
  <c r="E14" i="7"/>
  <c r="F13" i="7"/>
  <c r="E13" i="7"/>
  <c r="F12" i="7"/>
  <c r="G12" i="7" s="1"/>
  <c r="F10" i="7"/>
  <c r="F9" i="7"/>
  <c r="G9" i="7" s="1"/>
  <c r="F8" i="7"/>
  <c r="G8" i="7" s="1"/>
  <c r="F7" i="7"/>
  <c r="G7" i="7" s="1"/>
  <c r="F6" i="7"/>
  <c r="F5" i="7"/>
  <c r="E5" i="7"/>
  <c r="E15" i="7" s="1"/>
  <c r="F4" i="7"/>
  <c r="G4" i="7" s="1"/>
  <c r="A1" i="7"/>
  <c r="E13" i="5"/>
  <c r="E7" i="5"/>
  <c r="E8" i="5" s="1"/>
  <c r="G8" i="5" s="1"/>
  <c r="E5" i="5"/>
  <c r="F12" i="5"/>
  <c r="E12" i="5"/>
  <c r="F11" i="5"/>
  <c r="E11" i="5"/>
  <c r="F10" i="5"/>
  <c r="G10" i="5" s="1"/>
  <c r="F9" i="5"/>
  <c r="F6" i="5"/>
  <c r="G6" i="5" s="1"/>
  <c r="F5" i="5"/>
  <c r="F4" i="5"/>
  <c r="G4" i="5" s="1"/>
  <c r="A1" i="5"/>
  <c r="G6" i="7" l="1"/>
  <c r="G6" i="9"/>
  <c r="G7" i="5"/>
  <c r="G12" i="9"/>
  <c r="G9" i="9"/>
  <c r="G13" i="10"/>
  <c r="G14" i="10"/>
  <c r="G8" i="10"/>
  <c r="G11" i="9"/>
  <c r="G8" i="9"/>
  <c r="G13" i="9"/>
  <c r="G5" i="9"/>
  <c r="G10" i="8"/>
  <c r="G11" i="8"/>
  <c r="G5" i="8"/>
  <c r="G13" i="7"/>
  <c r="G10" i="7"/>
  <c r="G14" i="7"/>
  <c r="G5" i="7"/>
  <c r="G11" i="5"/>
  <c r="G9" i="5"/>
  <c r="G12" i="5"/>
  <c r="G5" i="5"/>
  <c r="E11" i="4"/>
  <c r="E10" i="4"/>
  <c r="F11" i="4"/>
  <c r="F10" i="4"/>
  <c r="F9" i="4"/>
  <c r="F8" i="4"/>
  <c r="F6" i="4"/>
  <c r="G6" i="4" s="1"/>
  <c r="F5" i="4"/>
  <c r="F4" i="4"/>
  <c r="G4" i="4" s="1"/>
  <c r="A1" i="4"/>
  <c r="F15" i="10" l="1"/>
  <c r="G15" i="10" s="1"/>
  <c r="G16" i="10" s="1"/>
  <c r="I10" i="1" s="1"/>
  <c r="J10" i="1" s="1"/>
  <c r="F12" i="8"/>
  <c r="G12" i="8" s="1"/>
  <c r="G13" i="8" s="1"/>
  <c r="I8" i="1" s="1"/>
  <c r="F14" i="9"/>
  <c r="G14" i="9" s="1"/>
  <c r="F13" i="5"/>
  <c r="G13" i="5" s="1"/>
  <c r="F15" i="7"/>
  <c r="G15" i="7" s="1"/>
  <c r="G16" i="7" s="1"/>
  <c r="I7" i="1" s="1"/>
  <c r="K7" i="1" s="1"/>
  <c r="G15" i="9"/>
  <c r="I9" i="1" s="1"/>
  <c r="J9" i="1" s="1"/>
  <c r="J8" i="1"/>
  <c r="K8" i="1"/>
  <c r="G15" i="8"/>
  <c r="G14" i="8"/>
  <c r="G10" i="4"/>
  <c r="G5" i="4"/>
  <c r="G8" i="4"/>
  <c r="G14" i="5"/>
  <c r="G11" i="4"/>
  <c r="G9" i="4"/>
  <c r="G17" i="10" l="1"/>
  <c r="G18" i="10"/>
  <c r="K10" i="1"/>
  <c r="G16" i="9"/>
  <c r="G17" i="7"/>
  <c r="J7" i="1"/>
  <c r="G18" i="7"/>
  <c r="G17" i="9"/>
  <c r="K9" i="1"/>
  <c r="G12" i="4"/>
  <c r="I5" i="1" s="1"/>
  <c r="J5" i="1" s="1"/>
  <c r="G16" i="5"/>
  <c r="I6" i="1"/>
  <c r="G15" i="5"/>
  <c r="G13" i="4" l="1"/>
  <c r="G14" i="4"/>
  <c r="K5" i="1"/>
  <c r="K6" i="1"/>
  <c r="J6" i="1"/>
  <c r="J16" i="1" s="1"/>
  <c r="I16" i="1"/>
  <c r="K16" i="1" l="1"/>
</calcChain>
</file>

<file path=xl/sharedStrings.xml><?xml version="1.0" encoding="utf-8"?>
<sst xmlns="http://schemas.openxmlformats.org/spreadsheetml/2006/main" count="286" uniqueCount="86">
  <si>
    <t>nazwa</t>
  </si>
  <si>
    <t>profilowanie podbudowy z kruszywa</t>
  </si>
  <si>
    <t>warstwa odcinająca 10 cm</t>
  </si>
  <si>
    <t>korytowanie wraz z wywozem</t>
  </si>
  <si>
    <t>podbudowa 10 cm z rozściełacza</t>
  </si>
  <si>
    <t>podbudowa 20 cm z rozściełacza</t>
  </si>
  <si>
    <t>skropienie asfaltem</t>
  </si>
  <si>
    <t>utrwalenie 5-8</t>
  </si>
  <si>
    <t>utrwalenie 8-11</t>
  </si>
  <si>
    <t>ścięcie poboczy z wywozem</t>
  </si>
  <si>
    <t>TP</t>
  </si>
  <si>
    <t>Pomiary geodezyjne z inwentaryzacją</t>
  </si>
  <si>
    <t>przepust fi600 - 1 m</t>
  </si>
  <si>
    <t>ścianka czołowa fi 600 - 1 szt.</t>
  </si>
  <si>
    <t>pobocza 10 cm</t>
  </si>
  <si>
    <t>rozebranie przepustu wraz z wywozem- 1m</t>
  </si>
  <si>
    <t>utrwalenie 12-16</t>
  </si>
  <si>
    <t>Lp.</t>
  </si>
  <si>
    <t>Podstawa</t>
  </si>
  <si>
    <t>Opis</t>
  </si>
  <si>
    <t>Jedn.obm.</t>
  </si>
  <si>
    <t>Obmiar</t>
  </si>
  <si>
    <t>cena jedn.</t>
  </si>
  <si>
    <t>wartość</t>
  </si>
  <si>
    <t>KNR 2-01 0119-01</t>
  </si>
  <si>
    <t>Roboty pomiarowe przy liniowych robotach ziemnych wraz z inwentaryzacją powykonawczą - trasa dróg w terenie równinnym</t>
  </si>
  <si>
    <t>km</t>
  </si>
  <si>
    <t>KNR 2-31 0816-01</t>
  </si>
  <si>
    <t>Rozebranie przepustów rurowych wraz z wywozem poza teren budowy</t>
  </si>
  <si>
    <t>m</t>
  </si>
  <si>
    <t>KNNR 6 0605-05</t>
  </si>
  <si>
    <t>Przepusty rurowe pod koroną drogi - ścianki czołowe dla rur o rednicy 60 cm</t>
  </si>
  <si>
    <t>szt</t>
  </si>
  <si>
    <t>KNNR 6 0605-08</t>
  </si>
  <si>
    <t>Przepusty rurowe pod koroną drogi - rury karbowane o rednicy 60 cm wraz z odtworzeniem istniejącej nawierzchni</t>
  </si>
  <si>
    <t>KNNR 6 1301-03</t>
  </si>
  <si>
    <t>m2</t>
  </si>
  <si>
    <t>KNNR 6 0101-02</t>
  </si>
  <si>
    <t>Koryta wykonywane mechanicznie gł. 20 cm w gruncie kat. II-VI</t>
  </si>
  <si>
    <t>KNNR 6 0106-05</t>
  </si>
  <si>
    <t>KNNR 6 0113-02</t>
  </si>
  <si>
    <t>KNNR 6 0113-05</t>
  </si>
  <si>
    <t>KNNR 6 1002-02</t>
  </si>
  <si>
    <t>Powierzchniowe utrwalanie nawierzchni drogowych emulsją asfaltową i grysem kamiennym o wym. 5-8 mm w iloci 10 dm3/m2</t>
  </si>
  <si>
    <t>KNNR 6 1002-03</t>
  </si>
  <si>
    <t>Powierzchniowe utrwalanie nawierzchni drogowych emulsją asfaltową i grysem kamiennym o wym. 8-11 mm w iloci 13 dm3/m2</t>
  </si>
  <si>
    <t>Powierzchniowe utrwalanie nawierzchni drogowych emulsją asfaltową i grysem kamiennym o wym. 12-16 mm w iloci 16 dm3/m2</t>
  </si>
  <si>
    <t>KNNR 6 0113-05 analogia</t>
  </si>
  <si>
    <t>Umocnione pobocze z kruszyw łamanych gr. 10 cm na szer. 0,75 m</t>
  </si>
  <si>
    <t>WARTOŚĆ NETTO:</t>
  </si>
  <si>
    <t>VAT 23%</t>
  </si>
  <si>
    <t>WARTOŚĆ BRUTTO:</t>
  </si>
  <si>
    <t>Profilowanie istniejącej nawierzchni tłuczniowej</t>
  </si>
  <si>
    <t>Warstwy odcinające zagęszczane mechanicznie o gruboci 10 cm</t>
  </si>
  <si>
    <t>KNNR 6 1301-03 analogia</t>
  </si>
  <si>
    <t>Ścięcie poboczy na szer. 0,75 m wraz z wywozem urobku poza teren budowy</t>
  </si>
  <si>
    <t>Warstwa podbudowy z kruszyw łamanych gr. 20 cm wykonane rozściełaczem</t>
  </si>
  <si>
    <t>pobocza 20 cm</t>
  </si>
  <si>
    <t>Przebudowa drogi gminnej nr 160209C w miejscowości Nowy Ciechocinek</t>
  </si>
  <si>
    <t>Warstwa podbudowy z kruszyw łamanych gr. 30 cm wykonane rozściełaczem</t>
  </si>
  <si>
    <t>Regulacja studni kanalizacyjnych</t>
  </si>
  <si>
    <t>Przebudowa drogi gminnej nr 160225C Opoki-Grabie</t>
  </si>
  <si>
    <t>Przebudowa drogi gminnej nr 160237C</t>
  </si>
  <si>
    <t>Przebudowa drogi gminnej nr 160226C Poczałkowo - Pinino</t>
  </si>
  <si>
    <t>podbudowa 15 cm z rozściełacza</t>
  </si>
  <si>
    <t>temat</t>
  </si>
  <si>
    <t>Konradowo</t>
  </si>
  <si>
    <t>Nowy Ciechocinek</t>
  </si>
  <si>
    <t>Opoki-Grabie</t>
  </si>
  <si>
    <t>Ostrowąs-Przybranowo</t>
  </si>
  <si>
    <t>Plebanka-Słomkowo</t>
  </si>
  <si>
    <t>Poczałkowo-Pinino</t>
  </si>
  <si>
    <t>netto</t>
  </si>
  <si>
    <t>vat</t>
  </si>
  <si>
    <t>brutto</t>
  </si>
  <si>
    <t>SUMA</t>
  </si>
  <si>
    <t>Indywidualnie na podstawie projektu wykonawczego</t>
  </si>
  <si>
    <t>Przebudowa drogi gminnej nr 160215C Stawki - Konradowo - CZĘŚĆ I</t>
  </si>
  <si>
    <t>Przebudowa drogi gminnej nr 160218C Plebanka - Słomkowo - CZĘŚĆ I</t>
  </si>
  <si>
    <t>Warstwa podbudowy z kruszyw łamanych gr. 20 cm wykonane rozściełaczem oraz nawierzchnia zjazdów</t>
  </si>
  <si>
    <t>warstwa ścieralna 4 cm</t>
  </si>
  <si>
    <t>Nawierzchnia zjazdów zkruszywa łamanego</t>
  </si>
  <si>
    <t>Nawierzchnia zjazdów z kruszywa łamanego</t>
  </si>
  <si>
    <t>Warstwa górna podbudowy z kruszyw łamanych gr. 10 cm wykonane rozściełaczem</t>
  </si>
  <si>
    <t xml:space="preserve">Warstwa górna podbudowy z kruszyw łamanych gr. 10 cm wykonane rozściełaczem 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</si>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</sst>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8" borderId="8" applyNumberFormat="0" applyFont="0" applyAlignment="0" applyProtection="0"/>
    <xf numFmtId="44" fontId="25" fillId="0" borderId="0" applyFont="0" applyFill="0" applyBorder="0" applyAlignment="0" applyProtection="0"/>
  </cellStyleXfs>
  <cellXfs count="30">
    <xf numFmtId="0" fontId="0" fillId="0" borderId="0" xfId="0"/>
    <xf numFmtId="0" fontId="7" fillId="0" borderId="0" xfId="41" applyAlignment="1">
      <alignment horizontal="left" vertical="center"/>
    </xf>
    <xf numFmtId="0" fontId="7" fillId="0" borderId="0" xfId="41" applyAlignment="1">
      <alignment horizontal="center" vertical="center"/>
    </xf>
    <xf numFmtId="44" fontId="7" fillId="0" borderId="10" xfId="41" applyNumberFormat="1" applyBorder="1" applyAlignment="1">
      <alignment horizontal="center" vertical="center"/>
    </xf>
    <xf numFmtId="44" fontId="7" fillId="0" borderId="10" xfId="4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22" fillId="0" borderId="10" xfId="41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0" xfId="41" applyBorder="1" applyAlignment="1">
      <alignment horizontal="center" vertical="center"/>
    </xf>
    <xf numFmtId="0" fontId="7" fillId="0" borderId="10" xfId="41" applyBorder="1" applyAlignment="1">
      <alignment horizontal="center" vertical="center" wrapText="1"/>
    </xf>
    <xf numFmtId="0" fontId="7" fillId="0" borderId="10" xfId="41" applyBorder="1" applyAlignment="1">
      <alignment horizontal="left" vertical="center" wrapText="1"/>
    </xf>
    <xf numFmtId="0" fontId="6" fillId="0" borderId="10" xfId="41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22" fillId="0" borderId="10" xfId="0" applyNumberFormat="1" applyFont="1" applyBorder="1"/>
    <xf numFmtId="0" fontId="22" fillId="0" borderId="0" xfId="0" applyFont="1"/>
    <xf numFmtId="44" fontId="0" fillId="0" borderId="0" xfId="44" applyFont="1"/>
    <xf numFmtId="0" fontId="3" fillId="0" borderId="10" xfId="41" applyFont="1" applyBorder="1" applyAlignment="1">
      <alignment horizontal="left" vertical="center" wrapText="1"/>
    </xf>
    <xf numFmtId="0" fontId="7" fillId="0" borderId="10" xfId="41" applyBorder="1" applyAlignment="1">
      <alignment horizontal="center" vertical="center"/>
    </xf>
    <xf numFmtId="0" fontId="2" fillId="0" borderId="10" xfId="41" applyFont="1" applyBorder="1" applyAlignment="1">
      <alignment horizontal="left" vertical="center" wrapText="1"/>
    </xf>
    <xf numFmtId="0" fontId="7" fillId="0" borderId="10" xfId="41" applyBorder="1" applyAlignment="1">
      <alignment horizontal="center" vertical="center"/>
    </xf>
    <xf numFmtId="0" fontId="1" fillId="0" borderId="10" xfId="41" applyFont="1" applyBorder="1" applyAlignment="1">
      <alignment horizontal="center" vertical="center"/>
    </xf>
    <xf numFmtId="0" fontId="24" fillId="0" borderId="10" xfId="41" applyFont="1" applyBorder="1" applyAlignment="1">
      <alignment horizontal="center" vertical="center"/>
    </xf>
    <xf numFmtId="0" fontId="5" fillId="0" borderId="10" xfId="41" applyFont="1" applyBorder="1" applyAlignment="1">
      <alignment horizontal="center" vertical="center"/>
    </xf>
    <xf numFmtId="0" fontId="7" fillId="0" borderId="10" xfId="41" applyBorder="1" applyAlignment="1">
      <alignment horizontal="center" vertical="center"/>
    </xf>
    <xf numFmtId="0" fontId="22" fillId="0" borderId="10" xfId="41" applyFont="1" applyBorder="1" applyAlignment="1">
      <alignment horizontal="center" vertical="center"/>
    </xf>
    <xf numFmtId="0" fontId="6" fillId="0" borderId="10" xfId="41" applyFont="1" applyBorder="1" applyAlignment="1">
      <alignment horizontal="center" vertical="center"/>
    </xf>
    <xf numFmtId="0" fontId="4" fillId="0" borderId="10" xfId="41" applyFont="1" applyBorder="1" applyAlignment="1">
      <alignment horizontal="center" vertical="center"/>
    </xf>
  </cellXfs>
  <cellStyles count="45">
    <cellStyle name="20% — akcent 1" xfId="18" builtinId="30" customBuiltin="1"/>
    <cellStyle name="20% — akcent 2" xfId="22" builtinId="34" customBuiltin="1"/>
    <cellStyle name="20% — akcent 3" xfId="26" builtinId="38" customBuiltin="1"/>
    <cellStyle name="20% — akcent 4" xfId="30" builtinId="42" customBuiltin="1"/>
    <cellStyle name="20% — akcent 5" xfId="34" builtinId="46" customBuiltin="1"/>
    <cellStyle name="20% — akcent 6" xfId="38" builtinId="50" customBuiltin="1"/>
    <cellStyle name="40% — akcent 1" xfId="19" builtinId="31" customBuiltin="1"/>
    <cellStyle name="40% — akcent 2" xfId="23" builtinId="35" customBuiltin="1"/>
    <cellStyle name="40% — akcent 3" xfId="27" builtinId="39" customBuiltin="1"/>
    <cellStyle name="40% — akcent 4" xfId="31" builtinId="43" customBuiltin="1"/>
    <cellStyle name="40% — akcent 5" xfId="35" builtinId="47" customBuiltin="1"/>
    <cellStyle name="40% — akcent 6" xfId="39" builtinId="51" customBuiltin="1"/>
    <cellStyle name="60% — akcent 1" xfId="20" builtinId="32" customBuiltin="1"/>
    <cellStyle name="60% — akcent 2" xfId="24" builtinId="36" customBuiltin="1"/>
    <cellStyle name="60% — akcent 3" xfId="28" builtinId="40" customBuiltin="1"/>
    <cellStyle name="60% — akcent 4" xfId="32" builtinId="44" customBuiltin="1"/>
    <cellStyle name="60% — akcent 5" xfId="36" builtinId="48" customBuiltin="1"/>
    <cellStyle name="60% — akcent 6" xfId="40" builtinId="52" customBuiltin="1"/>
    <cellStyle name="Akcent 1" xfId="17" builtinId="29" customBuiltin="1"/>
    <cellStyle name="Akcent 2" xfId="21" builtinId="33" customBuiltin="1"/>
    <cellStyle name="Akcent 3" xfId="25" builtinId="37" customBuiltin="1"/>
    <cellStyle name="Akcent 4" xfId="29" builtinId="41" customBuiltin="1"/>
    <cellStyle name="Akcent 5" xfId="33" builtinId="45" customBuiltin="1"/>
    <cellStyle name="Akcent 6" xfId="37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1"/>
    <cellStyle name="Obliczenia" xfId="11" builtinId="22" customBuiltin="1"/>
    <cellStyle name="Suma" xfId="16" builtinId="25" customBuiltin="1"/>
    <cellStyle name="Tekst objaśnienia" xfId="15" builtinId="53" customBuiltin="1"/>
    <cellStyle name="Tekst ostrzeżenia" xfId="14" builtinId="11" customBuiltin="1"/>
    <cellStyle name="Tytuł" xfId="1" builtinId="15" customBuiltin="1"/>
    <cellStyle name="Uwaga 2" xfId="43"/>
    <cellStyle name="Walutowy" xfId="44" builtinId="4"/>
    <cellStyle name="Walutowy 2" xfId="42"/>
    <cellStyle name="Zły" xfId="7" builtinId="27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9"/>
  <sheetViews>
    <sheetView workbookViewId="0">
      <selection activeCell="H26" sqref="H26"/>
    </sheetView>
  </sheetViews>
  <sheetFormatPr defaultRowHeight="15" x14ac:dyDescent="0.25"/>
  <cols>
    <col min="2" max="2" width="38.5703125" customWidth="1"/>
    <col min="3" max="3" width="23.7109375" customWidth="1"/>
    <col min="8" max="8" width="22.28515625" customWidth="1"/>
    <col min="9" max="9" width="14.7109375" customWidth="1"/>
    <col min="10" max="10" width="13.42578125" bestFit="1" customWidth="1"/>
    <col min="11" max="11" width="14.85546875" customWidth="1"/>
  </cols>
  <sheetData>
    <row r="4" spans="2:11" x14ac:dyDescent="0.25">
      <c r="B4" t="s">
        <v>0</v>
      </c>
      <c r="C4" t="s">
        <v>85</v>
      </c>
      <c r="H4" s="13" t="s">
        <v>65</v>
      </c>
      <c r="I4" s="13" t="s">
        <v>72</v>
      </c>
      <c r="J4" s="13" t="s">
        <v>73</v>
      </c>
      <c r="K4" s="13" t="s">
        <v>74</v>
      </c>
    </row>
    <row r="5" spans="2:11" x14ac:dyDescent="0.25">
      <c r="H5" s="14" t="s">
        <v>66</v>
      </c>
      <c r="I5" s="15">
        <f>KONRADOWO!G12</f>
        <v>0</v>
      </c>
      <c r="J5" s="15">
        <f>I5*0.23</f>
        <v>0</v>
      </c>
      <c r="K5" s="15">
        <f>I5*1.23</f>
        <v>0</v>
      </c>
    </row>
    <row r="6" spans="2:11" x14ac:dyDescent="0.25">
      <c r="B6" t="s">
        <v>11</v>
      </c>
      <c r="C6" s="18">
        <v>0</v>
      </c>
      <c r="H6" s="14" t="s">
        <v>67</v>
      </c>
      <c r="I6" s="15">
        <f>'NOWY CIECHOCINEK'!G14</f>
        <v>0</v>
      </c>
      <c r="J6" s="15">
        <f t="shared" ref="J6:J10" si="0">I6*0.23</f>
        <v>0</v>
      </c>
      <c r="K6" s="15">
        <f t="shared" ref="K6:K10" si="1">I6*1.23</f>
        <v>0</v>
      </c>
    </row>
    <row r="7" spans="2:11" x14ac:dyDescent="0.25">
      <c r="B7" t="s">
        <v>9</v>
      </c>
      <c r="C7" s="18">
        <v>0</v>
      </c>
      <c r="H7" s="14" t="s">
        <v>68</v>
      </c>
      <c r="I7" s="15">
        <f>'OPOKI-GRABIE'!G16</f>
        <v>0</v>
      </c>
      <c r="J7" s="15">
        <f t="shared" si="0"/>
        <v>0</v>
      </c>
      <c r="K7" s="15">
        <f t="shared" si="1"/>
        <v>0</v>
      </c>
    </row>
    <row r="8" spans="2:11" x14ac:dyDescent="0.25">
      <c r="B8" t="s">
        <v>15</v>
      </c>
      <c r="C8" s="18">
        <v>0</v>
      </c>
      <c r="H8" s="14" t="s">
        <v>69</v>
      </c>
      <c r="I8" s="15">
        <f>'OSTROWĄS-PRZYBRANOWO'!G13</f>
        <v>0</v>
      </c>
      <c r="J8" s="15">
        <f t="shared" si="0"/>
        <v>0</v>
      </c>
      <c r="K8" s="15">
        <f t="shared" si="1"/>
        <v>0</v>
      </c>
    </row>
    <row r="9" spans="2:11" x14ac:dyDescent="0.25">
      <c r="B9" t="s">
        <v>1</v>
      </c>
      <c r="C9" s="18">
        <v>0</v>
      </c>
      <c r="H9" s="14" t="s">
        <v>70</v>
      </c>
      <c r="I9" s="15">
        <f>'PLEBANKA-SŁOMKOWO'!G15</f>
        <v>0</v>
      </c>
      <c r="J9" s="15">
        <f t="shared" si="0"/>
        <v>0</v>
      </c>
      <c r="K9" s="15">
        <f t="shared" si="1"/>
        <v>0</v>
      </c>
    </row>
    <row r="10" spans="2:11" x14ac:dyDescent="0.25">
      <c r="B10" t="s">
        <v>3</v>
      </c>
      <c r="C10" s="18">
        <v>0</v>
      </c>
      <c r="H10" s="14" t="s">
        <v>71</v>
      </c>
      <c r="I10" s="15">
        <f>'POCZAŁKOWO-PININO'!G16</f>
        <v>0</v>
      </c>
      <c r="J10" s="15">
        <f t="shared" si="0"/>
        <v>0</v>
      </c>
      <c r="K10" s="15">
        <f t="shared" si="1"/>
        <v>0</v>
      </c>
    </row>
    <row r="11" spans="2:11" x14ac:dyDescent="0.25">
      <c r="B11" t="s">
        <v>2</v>
      </c>
      <c r="C11" s="18">
        <v>0</v>
      </c>
      <c r="H11" s="14"/>
      <c r="I11" s="15"/>
      <c r="J11" s="15"/>
      <c r="K11" s="15"/>
    </row>
    <row r="12" spans="2:11" x14ac:dyDescent="0.25">
      <c r="B12" t="s">
        <v>4</v>
      </c>
      <c r="C12" s="18">
        <v>0</v>
      </c>
      <c r="H12" s="14"/>
      <c r="I12" s="15"/>
      <c r="J12" s="15"/>
      <c r="K12" s="15"/>
    </row>
    <row r="13" spans="2:11" x14ac:dyDescent="0.25">
      <c r="B13" t="s">
        <v>5</v>
      </c>
      <c r="C13" s="18">
        <v>0</v>
      </c>
      <c r="H13" s="14"/>
      <c r="I13" s="15"/>
      <c r="J13" s="15"/>
      <c r="K13" s="15"/>
    </row>
    <row r="14" spans="2:11" x14ac:dyDescent="0.25">
      <c r="B14" t="s">
        <v>6</v>
      </c>
      <c r="C14" s="18">
        <v>0</v>
      </c>
      <c r="H14" s="14"/>
      <c r="I14" s="15"/>
      <c r="J14" s="15"/>
      <c r="K14" s="15"/>
    </row>
    <row r="15" spans="2:11" x14ac:dyDescent="0.25">
      <c r="C15" s="18">
        <v>0</v>
      </c>
      <c r="H15" s="14"/>
      <c r="I15" s="15"/>
      <c r="J15" s="15"/>
      <c r="K15" s="15"/>
    </row>
    <row r="16" spans="2:11" x14ac:dyDescent="0.25">
      <c r="B16" t="s">
        <v>80</v>
      </c>
      <c r="C16" s="18">
        <v>0</v>
      </c>
      <c r="H16" s="13" t="s">
        <v>75</v>
      </c>
      <c r="I16" s="16">
        <f t="shared" ref="I16:J16" si="2">SUM(I5:I15)</f>
        <v>0</v>
      </c>
      <c r="J16" s="16">
        <f t="shared" si="2"/>
        <v>0</v>
      </c>
      <c r="K16" s="16">
        <f>SUM(K5:K15)</f>
        <v>0</v>
      </c>
    </row>
    <row r="17" spans="2:3" x14ac:dyDescent="0.25">
      <c r="B17" t="s">
        <v>7</v>
      </c>
      <c r="C17" s="18">
        <v>0</v>
      </c>
    </row>
    <row r="18" spans="2:3" x14ac:dyDescent="0.25">
      <c r="B18" t="s">
        <v>8</v>
      </c>
      <c r="C18" s="18">
        <v>0</v>
      </c>
    </row>
    <row r="19" spans="2:3" x14ac:dyDescent="0.25">
      <c r="B19" t="s">
        <v>16</v>
      </c>
      <c r="C19" s="18">
        <v>0</v>
      </c>
    </row>
    <row r="20" spans="2:3" x14ac:dyDescent="0.25">
      <c r="B20" t="s">
        <v>12</v>
      </c>
      <c r="C20" s="18">
        <v>0</v>
      </c>
    </row>
    <row r="21" spans="2:3" x14ac:dyDescent="0.25">
      <c r="B21" t="s">
        <v>13</v>
      </c>
      <c r="C21" s="18">
        <v>0</v>
      </c>
    </row>
    <row r="22" spans="2:3" x14ac:dyDescent="0.25">
      <c r="B22" t="s">
        <v>14</v>
      </c>
      <c r="C22" s="18">
        <v>0</v>
      </c>
    </row>
    <row r="23" spans="2:3" x14ac:dyDescent="0.25">
      <c r="B23" t="s">
        <v>57</v>
      </c>
      <c r="C23" s="18">
        <v>0</v>
      </c>
    </row>
    <row r="24" spans="2:3" x14ac:dyDescent="0.25">
      <c r="B24" t="s">
        <v>60</v>
      </c>
      <c r="C24" s="18">
        <v>0</v>
      </c>
    </row>
    <row r="25" spans="2:3" x14ac:dyDescent="0.25">
      <c r="B25" t="s">
        <v>64</v>
      </c>
      <c r="C25" s="18">
        <v>0</v>
      </c>
    </row>
    <row r="28" spans="2:3" x14ac:dyDescent="0.25">
      <c r="B28" s="17" t="s">
        <v>10</v>
      </c>
    </row>
    <row r="29" spans="2:3" x14ac:dyDescent="0.25">
      <c r="B29" t="s">
        <v>76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5.4257812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5.140625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5" t="s">
        <v>77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23">
        <f>1.783-0.702</f>
        <v>1.081</v>
      </c>
      <c r="F4" s="4">
        <f>MATKA!$C$6</f>
        <v>0</v>
      </c>
      <c r="G4" s="3">
        <f>F4*E4</f>
        <v>0</v>
      </c>
    </row>
    <row r="5" spans="1:7" ht="56.25" customHeight="1" x14ac:dyDescent="0.25">
      <c r="A5" s="9">
        <v>2</v>
      </c>
      <c r="B5" s="10" t="s">
        <v>54</v>
      </c>
      <c r="C5" s="11" t="s">
        <v>55</v>
      </c>
      <c r="D5" s="9" t="s">
        <v>36</v>
      </c>
      <c r="E5" s="9">
        <f>E4*1000*2*0.75</f>
        <v>1621.5</v>
      </c>
      <c r="F5" s="4">
        <f>MATKA!$C$7</f>
        <v>0</v>
      </c>
      <c r="G5" s="3">
        <f t="shared" ref="G5:G11" si="0">F5*E5</f>
        <v>0</v>
      </c>
    </row>
    <row r="6" spans="1:7" ht="47.25" customHeight="1" x14ac:dyDescent="0.25">
      <c r="A6" s="9">
        <v>3</v>
      </c>
      <c r="B6" s="10" t="s">
        <v>35</v>
      </c>
      <c r="C6" s="11" t="s">
        <v>52</v>
      </c>
      <c r="D6" s="9" t="s">
        <v>36</v>
      </c>
      <c r="E6" s="9">
        <f>-3172+8217</f>
        <v>5045</v>
      </c>
      <c r="F6" s="4">
        <f>MATKA!C9</f>
        <v>0</v>
      </c>
      <c r="G6" s="3">
        <f t="shared" si="0"/>
        <v>0</v>
      </c>
    </row>
    <row r="7" spans="1:7" ht="46.5" customHeight="1" x14ac:dyDescent="0.25">
      <c r="A7" s="20">
        <v>4</v>
      </c>
      <c r="B7" s="10" t="s">
        <v>41</v>
      </c>
      <c r="C7" s="21" t="s">
        <v>83</v>
      </c>
      <c r="D7" s="20" t="s">
        <v>36</v>
      </c>
      <c r="E7" s="20">
        <f>E6</f>
        <v>5045</v>
      </c>
      <c r="F7" s="4">
        <f>MATKA!C12</f>
        <v>0</v>
      </c>
      <c r="G7" s="3">
        <f t="shared" ref="G7" si="1">F7*E7</f>
        <v>0</v>
      </c>
    </row>
    <row r="8" spans="1:7" ht="46.5" customHeight="1" x14ac:dyDescent="0.25">
      <c r="A8" s="20">
        <v>5</v>
      </c>
      <c r="B8" s="10" t="s">
        <v>41</v>
      </c>
      <c r="C8" s="21" t="s">
        <v>81</v>
      </c>
      <c r="D8" s="9" t="s">
        <v>36</v>
      </c>
      <c r="E8" s="9">
        <f>-128+227</f>
        <v>99</v>
      </c>
      <c r="F8" s="4">
        <f>MATKA!C12</f>
        <v>0</v>
      </c>
      <c r="G8" s="3">
        <f t="shared" si="0"/>
        <v>0</v>
      </c>
    </row>
    <row r="9" spans="1:7" ht="63.75" customHeight="1" x14ac:dyDescent="0.25">
      <c r="A9" s="22">
        <v>6</v>
      </c>
      <c r="B9" s="10" t="s">
        <v>42</v>
      </c>
      <c r="C9" s="11" t="s">
        <v>43</v>
      </c>
      <c r="D9" s="9" t="s">
        <v>36</v>
      </c>
      <c r="E9" s="9">
        <v>4575</v>
      </c>
      <c r="F9" s="4">
        <f>MATKA!C17</f>
        <v>0</v>
      </c>
      <c r="G9" s="3">
        <f t="shared" si="0"/>
        <v>0</v>
      </c>
    </row>
    <row r="10" spans="1:7" ht="62.25" customHeight="1" x14ac:dyDescent="0.25">
      <c r="A10" s="22">
        <v>7</v>
      </c>
      <c r="B10" s="10" t="s">
        <v>44</v>
      </c>
      <c r="C10" s="11" t="s">
        <v>45</v>
      </c>
      <c r="D10" s="9" t="s">
        <v>36</v>
      </c>
      <c r="E10" s="9">
        <f>E9</f>
        <v>4575</v>
      </c>
      <c r="F10" s="4">
        <f>MATKA!C18</f>
        <v>0</v>
      </c>
      <c r="G10" s="3">
        <f t="shared" si="0"/>
        <v>0</v>
      </c>
    </row>
    <row r="11" spans="1:7" ht="28.5" customHeight="1" x14ac:dyDescent="0.25">
      <c r="A11" s="22">
        <v>8</v>
      </c>
      <c r="B11" s="10" t="s">
        <v>47</v>
      </c>
      <c r="C11" s="11" t="s">
        <v>48</v>
      </c>
      <c r="D11" s="9" t="s">
        <v>36</v>
      </c>
      <c r="E11" s="9">
        <f>(1783-720)*2*0.75</f>
        <v>1594.5</v>
      </c>
      <c r="F11" s="4">
        <f>MATKA!C22</f>
        <v>0</v>
      </c>
      <c r="G11" s="3">
        <f t="shared" si="0"/>
        <v>0</v>
      </c>
    </row>
    <row r="12" spans="1:7" x14ac:dyDescent="0.25">
      <c r="A12" s="2"/>
      <c r="B12" s="2"/>
      <c r="C12" s="1"/>
      <c r="D12" s="2"/>
      <c r="E12" s="27" t="s">
        <v>49</v>
      </c>
      <c r="F12" s="27"/>
      <c r="G12" s="6">
        <f>SUM(G4:G11)</f>
        <v>0</v>
      </c>
    </row>
    <row r="13" spans="1:7" x14ac:dyDescent="0.25">
      <c r="A13" s="2"/>
      <c r="B13" s="2"/>
      <c r="C13" s="1"/>
      <c r="D13" s="2"/>
      <c r="E13" s="27" t="s">
        <v>50</v>
      </c>
      <c r="F13" s="27"/>
      <c r="G13" s="6">
        <f>G12*0.23</f>
        <v>0</v>
      </c>
    </row>
    <row r="14" spans="1:7" x14ac:dyDescent="0.25">
      <c r="A14" s="2"/>
      <c r="B14" s="2"/>
      <c r="C14" s="1"/>
      <c r="D14" s="2"/>
      <c r="E14" s="27" t="s">
        <v>51</v>
      </c>
      <c r="F14" s="27"/>
      <c r="G14" s="6">
        <f>G12*1.23</f>
        <v>0</v>
      </c>
    </row>
    <row r="15" spans="1:7" x14ac:dyDescent="0.25">
      <c r="G15" s="7"/>
    </row>
  </sheetData>
  <mergeCells count="5">
    <mergeCell ref="A1:G1"/>
    <mergeCell ref="A2:G2"/>
    <mergeCell ref="E12:F12"/>
    <mergeCell ref="E13:F13"/>
    <mergeCell ref="E14:F14"/>
  </mergeCells>
  <pageMargins left="0.7" right="0.7" top="0.75" bottom="0.75" header="0.3" footer="0.3"/>
  <pageSetup paperSize="9" scale="7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8" sqref="F8"/>
    </sheetView>
  </sheetViews>
  <sheetFormatPr defaultRowHeight="15" x14ac:dyDescent="0.25"/>
  <cols>
    <col min="1" max="1" width="4.8554687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4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8" t="s">
        <v>58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9">
        <v>0.39600000000000002</v>
      </c>
      <c r="F4" s="4">
        <f>MATKA!$C$6</f>
        <v>0</v>
      </c>
      <c r="G4" s="3">
        <f>F4*E4</f>
        <v>0</v>
      </c>
    </row>
    <row r="5" spans="1:7" ht="56.25" customHeight="1" x14ac:dyDescent="0.25">
      <c r="A5" s="9">
        <v>2</v>
      </c>
      <c r="B5" s="10" t="s">
        <v>54</v>
      </c>
      <c r="C5" s="11" t="s">
        <v>55</v>
      </c>
      <c r="D5" s="9" t="s">
        <v>36</v>
      </c>
      <c r="E5" s="9">
        <f>396*2*0.75</f>
        <v>594</v>
      </c>
      <c r="F5" s="4">
        <f>MATKA!$C$7</f>
        <v>0</v>
      </c>
      <c r="G5" s="3">
        <f t="shared" ref="G5:G13" si="0">F5*E5</f>
        <v>0</v>
      </c>
    </row>
    <row r="6" spans="1:7" ht="47.25" customHeight="1" x14ac:dyDescent="0.25">
      <c r="A6" s="9">
        <v>3</v>
      </c>
      <c r="B6" s="10" t="s">
        <v>35</v>
      </c>
      <c r="C6" s="11" t="s">
        <v>52</v>
      </c>
      <c r="D6" s="9" t="s">
        <v>36</v>
      </c>
      <c r="E6" s="9">
        <v>1645</v>
      </c>
      <c r="F6" s="4">
        <f>MATKA!C9</f>
        <v>0</v>
      </c>
      <c r="G6" s="3">
        <f t="shared" si="0"/>
        <v>0</v>
      </c>
    </row>
    <row r="7" spans="1:7" ht="39" customHeight="1" x14ac:dyDescent="0.25">
      <c r="A7" s="9">
        <v>4</v>
      </c>
      <c r="B7" s="10" t="s">
        <v>40</v>
      </c>
      <c r="C7" s="12" t="s">
        <v>59</v>
      </c>
      <c r="D7" s="9" t="s">
        <v>36</v>
      </c>
      <c r="E7" s="9">
        <f>(139-83)*4.4</f>
        <v>246.40000000000003</v>
      </c>
      <c r="F7" s="4">
        <v>0</v>
      </c>
      <c r="G7" s="3">
        <f t="shared" si="0"/>
        <v>0</v>
      </c>
    </row>
    <row r="8" spans="1:7" ht="46.5" customHeight="1" x14ac:dyDescent="0.25">
      <c r="A8" s="20">
        <v>5</v>
      </c>
      <c r="B8" s="10" t="s">
        <v>41</v>
      </c>
      <c r="C8" s="21" t="s">
        <v>83</v>
      </c>
      <c r="D8" s="20" t="s">
        <v>36</v>
      </c>
      <c r="E8" s="20">
        <f>E6-E7</f>
        <v>1398.6</v>
      </c>
      <c r="F8" s="4">
        <f>MATKA!C12</f>
        <v>0</v>
      </c>
      <c r="G8" s="3">
        <f t="shared" ref="G8" si="1">F8*E8</f>
        <v>0</v>
      </c>
    </row>
    <row r="9" spans="1:7" ht="46.5" customHeight="1" x14ac:dyDescent="0.25">
      <c r="A9" s="9">
        <v>5</v>
      </c>
      <c r="B9" s="10" t="s">
        <v>41</v>
      </c>
      <c r="C9" s="21" t="s">
        <v>82</v>
      </c>
      <c r="D9" s="9" t="s">
        <v>36</v>
      </c>
      <c r="E9" s="9">
        <v>62</v>
      </c>
      <c r="F9" s="4">
        <f>MATKA!C12</f>
        <v>0</v>
      </c>
      <c r="G9" s="3">
        <f t="shared" si="0"/>
        <v>0</v>
      </c>
    </row>
    <row r="10" spans="1:7" ht="63.75" customHeight="1" x14ac:dyDescent="0.25">
      <c r="A10" s="9">
        <v>6</v>
      </c>
      <c r="B10" s="10" t="s">
        <v>42</v>
      </c>
      <c r="C10" s="11" t="s">
        <v>43</v>
      </c>
      <c r="D10" s="9" t="s">
        <v>36</v>
      </c>
      <c r="E10" s="9">
        <f>1452</f>
        <v>1452</v>
      </c>
      <c r="F10" s="4">
        <f>MATKA!C17</f>
        <v>0</v>
      </c>
      <c r="G10" s="3">
        <f t="shared" si="0"/>
        <v>0</v>
      </c>
    </row>
    <row r="11" spans="1:7" ht="62.25" customHeight="1" x14ac:dyDescent="0.25">
      <c r="A11" s="9">
        <v>7</v>
      </c>
      <c r="B11" s="10" t="s">
        <v>44</v>
      </c>
      <c r="C11" s="11" t="s">
        <v>45</v>
      </c>
      <c r="D11" s="9" t="s">
        <v>36</v>
      </c>
      <c r="E11" s="9">
        <f>E10</f>
        <v>1452</v>
      </c>
      <c r="F11" s="4">
        <f>MATKA!C18</f>
        <v>0</v>
      </c>
      <c r="G11" s="3">
        <f t="shared" si="0"/>
        <v>0</v>
      </c>
    </row>
    <row r="12" spans="1:7" ht="64.5" customHeight="1" x14ac:dyDescent="0.25">
      <c r="A12" s="9">
        <v>8</v>
      </c>
      <c r="B12" s="10" t="s">
        <v>44</v>
      </c>
      <c r="C12" s="11" t="s">
        <v>46</v>
      </c>
      <c r="D12" s="9" t="s">
        <v>36</v>
      </c>
      <c r="E12" s="9">
        <f>E10</f>
        <v>1452</v>
      </c>
      <c r="F12" s="4">
        <f>MATKA!C19</f>
        <v>0</v>
      </c>
      <c r="G12" s="3">
        <f t="shared" si="0"/>
        <v>0</v>
      </c>
    </row>
    <row r="13" spans="1:7" ht="28.5" customHeight="1" x14ac:dyDescent="0.25">
      <c r="A13" s="9">
        <v>9</v>
      </c>
      <c r="B13" s="10" t="s">
        <v>47</v>
      </c>
      <c r="C13" s="11" t="s">
        <v>48</v>
      </c>
      <c r="D13" s="9" t="s">
        <v>36</v>
      </c>
      <c r="E13" s="9">
        <f>E5-12*7</f>
        <v>510</v>
      </c>
      <c r="F13" s="4">
        <f>MATKA!C22</f>
        <v>0</v>
      </c>
      <c r="G13" s="3">
        <f t="shared" si="0"/>
        <v>0</v>
      </c>
    </row>
    <row r="14" spans="1:7" x14ac:dyDescent="0.25">
      <c r="A14" s="2"/>
      <c r="B14" s="2"/>
      <c r="C14" s="1"/>
      <c r="D14" s="2"/>
      <c r="E14" s="27" t="s">
        <v>49</v>
      </c>
      <c r="F14" s="27"/>
      <c r="G14" s="6">
        <f>SUM(G4:G13)</f>
        <v>0</v>
      </c>
    </row>
    <row r="15" spans="1:7" x14ac:dyDescent="0.25">
      <c r="A15" s="2"/>
      <c r="B15" s="2"/>
      <c r="C15" s="1"/>
      <c r="D15" s="2"/>
      <c r="E15" s="27" t="s">
        <v>50</v>
      </c>
      <c r="F15" s="27"/>
      <c r="G15" s="6">
        <f>G14*0.23</f>
        <v>0</v>
      </c>
    </row>
    <row r="16" spans="1:7" x14ac:dyDescent="0.25">
      <c r="A16" s="2"/>
      <c r="B16" s="2"/>
      <c r="C16" s="1"/>
      <c r="D16" s="2"/>
      <c r="E16" s="27" t="s">
        <v>51</v>
      </c>
      <c r="F16" s="27"/>
      <c r="G16" s="6">
        <f>G14*1.23</f>
        <v>0</v>
      </c>
    </row>
    <row r="17" spans="7:7" x14ac:dyDescent="0.25">
      <c r="G17" s="7"/>
    </row>
  </sheetData>
  <mergeCells count="5">
    <mergeCell ref="A1:G1"/>
    <mergeCell ref="A2:G2"/>
    <mergeCell ref="E14:F14"/>
    <mergeCell ref="E15:F15"/>
    <mergeCell ref="E16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5" workbookViewId="0">
      <selection activeCell="C20" sqref="C20"/>
    </sheetView>
  </sheetViews>
  <sheetFormatPr defaultRowHeight="15" x14ac:dyDescent="0.25"/>
  <cols>
    <col min="1" max="1" width="5.14062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4.85546875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8" t="s">
        <v>61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9">
        <v>2.0529999999999999</v>
      </c>
      <c r="F4" s="4">
        <f>MATKA!$C$6</f>
        <v>0</v>
      </c>
      <c r="G4" s="3">
        <f>F4*E4</f>
        <v>0</v>
      </c>
    </row>
    <row r="5" spans="1:7" ht="56.25" customHeight="1" x14ac:dyDescent="0.25">
      <c r="A5" s="9">
        <v>2</v>
      </c>
      <c r="B5" s="10" t="s">
        <v>54</v>
      </c>
      <c r="C5" s="11" t="s">
        <v>55</v>
      </c>
      <c r="D5" s="9" t="s">
        <v>36</v>
      </c>
      <c r="E5" s="9">
        <f>E4*1000*2*0.75</f>
        <v>3079.5</v>
      </c>
      <c r="F5" s="4">
        <f>MATKA!$C$7</f>
        <v>0</v>
      </c>
      <c r="G5" s="3">
        <f t="shared" ref="G5:G15" si="0">F5*E5</f>
        <v>0</v>
      </c>
    </row>
    <row r="6" spans="1:7" ht="47.25" customHeight="1" x14ac:dyDescent="0.25">
      <c r="A6" s="9">
        <v>3</v>
      </c>
      <c r="B6" s="10" t="s">
        <v>35</v>
      </c>
      <c r="C6" s="11" t="s">
        <v>52</v>
      </c>
      <c r="D6" s="9" t="s">
        <v>36</v>
      </c>
      <c r="E6" s="9">
        <f>9130-E7</f>
        <v>5874</v>
      </c>
      <c r="F6" s="4">
        <f>MATKA!C9</f>
        <v>0</v>
      </c>
      <c r="G6" s="3">
        <f t="shared" si="0"/>
        <v>0</v>
      </c>
    </row>
    <row r="7" spans="1:7" ht="42.75" customHeight="1" x14ac:dyDescent="0.25">
      <c r="A7" s="9">
        <v>4</v>
      </c>
      <c r="B7" s="10" t="s">
        <v>37</v>
      </c>
      <c r="C7" s="11" t="s">
        <v>38</v>
      </c>
      <c r="D7" s="9" t="s">
        <v>36</v>
      </c>
      <c r="E7" s="9">
        <v>3256</v>
      </c>
      <c r="F7" s="4">
        <f>MATKA!C10</f>
        <v>0</v>
      </c>
      <c r="G7" s="3">
        <f t="shared" si="0"/>
        <v>0</v>
      </c>
    </row>
    <row r="8" spans="1:7" ht="51.75" customHeight="1" x14ac:dyDescent="0.25">
      <c r="A8" s="20">
        <v>5</v>
      </c>
      <c r="B8" s="10" t="s">
        <v>39</v>
      </c>
      <c r="C8" s="11" t="s">
        <v>53</v>
      </c>
      <c r="D8" s="9" t="s">
        <v>36</v>
      </c>
      <c r="E8" s="9">
        <v>3256</v>
      </c>
      <c r="F8" s="4">
        <f>MATKA!C11</f>
        <v>0</v>
      </c>
      <c r="G8" s="3">
        <f t="shared" si="0"/>
        <v>0</v>
      </c>
    </row>
    <row r="9" spans="1:7" ht="39" customHeight="1" x14ac:dyDescent="0.25">
      <c r="A9" s="20">
        <v>6</v>
      </c>
      <c r="B9" s="10" t="s">
        <v>40</v>
      </c>
      <c r="C9" s="11" t="s">
        <v>56</v>
      </c>
      <c r="D9" s="9" t="s">
        <v>36</v>
      </c>
      <c r="E9" s="9">
        <v>3256</v>
      </c>
      <c r="F9" s="4">
        <f>MATKA!C13</f>
        <v>0</v>
      </c>
      <c r="G9" s="3">
        <f t="shared" si="0"/>
        <v>0</v>
      </c>
    </row>
    <row r="10" spans="1:7" ht="46.5" customHeight="1" x14ac:dyDescent="0.25">
      <c r="A10" s="20">
        <v>7</v>
      </c>
      <c r="B10" s="10" t="s">
        <v>41</v>
      </c>
      <c r="C10" s="21" t="s">
        <v>83</v>
      </c>
      <c r="D10" s="9" t="s">
        <v>36</v>
      </c>
      <c r="E10" s="9">
        <f>E6</f>
        <v>5874</v>
      </c>
      <c r="F10" s="4">
        <f>MATKA!C12</f>
        <v>0</v>
      </c>
      <c r="G10" s="3">
        <f t="shared" si="0"/>
        <v>0</v>
      </c>
    </row>
    <row r="11" spans="1:7" ht="46.5" customHeight="1" x14ac:dyDescent="0.25">
      <c r="A11" s="20">
        <v>8</v>
      </c>
      <c r="B11" s="10" t="s">
        <v>41</v>
      </c>
      <c r="C11" s="21" t="s">
        <v>82</v>
      </c>
      <c r="D11" s="20" t="s">
        <v>36</v>
      </c>
      <c r="E11" s="20">
        <v>362</v>
      </c>
      <c r="F11" s="4">
        <f>MATKA!C12</f>
        <v>0</v>
      </c>
      <c r="G11" s="3">
        <f t="shared" ref="G11" si="1">F11*E11</f>
        <v>0</v>
      </c>
    </row>
    <row r="12" spans="1:7" ht="63.75" customHeight="1" x14ac:dyDescent="0.25">
      <c r="A12" s="20">
        <v>9</v>
      </c>
      <c r="B12" s="10" t="s">
        <v>42</v>
      </c>
      <c r="C12" s="11" t="s">
        <v>43</v>
      </c>
      <c r="D12" s="9" t="s">
        <v>36</v>
      </c>
      <c r="E12" s="9">
        <f>8300</f>
        <v>8300</v>
      </c>
      <c r="F12" s="4">
        <f>MATKA!C17</f>
        <v>0</v>
      </c>
      <c r="G12" s="3">
        <f t="shared" si="0"/>
        <v>0</v>
      </c>
    </row>
    <row r="13" spans="1:7" ht="62.25" customHeight="1" x14ac:dyDescent="0.25">
      <c r="A13" s="20">
        <v>10</v>
      </c>
      <c r="B13" s="10" t="s">
        <v>44</v>
      </c>
      <c r="C13" s="11" t="s">
        <v>45</v>
      </c>
      <c r="D13" s="9" t="s">
        <v>36</v>
      </c>
      <c r="E13" s="9">
        <f>E12</f>
        <v>8300</v>
      </c>
      <c r="F13" s="4">
        <f>MATKA!C18</f>
        <v>0</v>
      </c>
      <c r="G13" s="3">
        <f t="shared" si="0"/>
        <v>0</v>
      </c>
    </row>
    <row r="14" spans="1:7" ht="64.5" customHeight="1" x14ac:dyDescent="0.25">
      <c r="A14" s="20">
        <v>11</v>
      </c>
      <c r="B14" s="10" t="s">
        <v>44</v>
      </c>
      <c r="C14" s="11" t="s">
        <v>46</v>
      </c>
      <c r="D14" s="9" t="s">
        <v>36</v>
      </c>
      <c r="E14" s="9">
        <f>E12</f>
        <v>8300</v>
      </c>
      <c r="F14" s="4">
        <f>MATKA!C19</f>
        <v>0</v>
      </c>
      <c r="G14" s="3">
        <f t="shared" si="0"/>
        <v>0</v>
      </c>
    </row>
    <row r="15" spans="1:7" ht="28.5" customHeight="1" x14ac:dyDescent="0.25">
      <c r="A15" s="20">
        <v>12</v>
      </c>
      <c r="B15" s="10" t="s">
        <v>47</v>
      </c>
      <c r="C15" s="11" t="s">
        <v>48</v>
      </c>
      <c r="D15" s="9" t="s">
        <v>36</v>
      </c>
      <c r="E15" s="9">
        <f>E5-34*7</f>
        <v>2841.5</v>
      </c>
      <c r="F15" s="4">
        <f>MATKA!C22</f>
        <v>0</v>
      </c>
      <c r="G15" s="3">
        <f t="shared" si="0"/>
        <v>0</v>
      </c>
    </row>
    <row r="16" spans="1:7" x14ac:dyDescent="0.25">
      <c r="A16" s="2"/>
      <c r="B16" s="2"/>
      <c r="C16" s="1"/>
      <c r="D16" s="2"/>
      <c r="E16" s="27" t="s">
        <v>49</v>
      </c>
      <c r="F16" s="27"/>
      <c r="G16" s="6">
        <f>SUM(G4:G15)</f>
        <v>0</v>
      </c>
    </row>
    <row r="17" spans="1:7" x14ac:dyDescent="0.25">
      <c r="A17" s="2"/>
      <c r="B17" s="2"/>
      <c r="C17" s="1"/>
      <c r="D17" s="2"/>
      <c r="E17" s="27" t="s">
        <v>50</v>
      </c>
      <c r="F17" s="27"/>
      <c r="G17" s="6">
        <f>G16*0.23</f>
        <v>0</v>
      </c>
    </row>
    <row r="18" spans="1:7" x14ac:dyDescent="0.25">
      <c r="A18" s="2"/>
      <c r="B18" s="2"/>
      <c r="C18" s="1"/>
      <c r="D18" s="2"/>
      <c r="E18" s="27" t="s">
        <v>51</v>
      </c>
      <c r="F18" s="27"/>
      <c r="G18" s="6">
        <f>G16*1.23</f>
        <v>0</v>
      </c>
    </row>
    <row r="19" spans="1:7" x14ac:dyDescent="0.25">
      <c r="G19" s="7"/>
    </row>
  </sheetData>
  <mergeCells count="5">
    <mergeCell ref="A1:G1"/>
    <mergeCell ref="A2:G2"/>
    <mergeCell ref="E16:F16"/>
    <mergeCell ref="E17:F17"/>
    <mergeCell ref="E18:F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9" sqref="E9"/>
    </sheetView>
  </sheetViews>
  <sheetFormatPr defaultRowHeight="15" x14ac:dyDescent="0.25"/>
  <cols>
    <col min="1" max="1" width="5.14062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3.85546875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8" t="s">
        <v>62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9">
        <v>2.3090000000000002</v>
      </c>
      <c r="F4" s="4">
        <f>MATKA!$C$6</f>
        <v>0</v>
      </c>
      <c r="G4" s="3">
        <f>F4*E4</f>
        <v>0</v>
      </c>
    </row>
    <row r="5" spans="1:7" ht="56.25" customHeight="1" x14ac:dyDescent="0.25">
      <c r="A5" s="9">
        <v>2</v>
      </c>
      <c r="B5" s="10" t="s">
        <v>54</v>
      </c>
      <c r="C5" s="11" t="s">
        <v>55</v>
      </c>
      <c r="D5" s="9" t="s">
        <v>36</v>
      </c>
      <c r="E5" s="9">
        <f>E4*1000*2*0.75</f>
        <v>3463.5</v>
      </c>
      <c r="F5" s="4">
        <f>MATKA!$C$7</f>
        <v>0</v>
      </c>
      <c r="G5" s="3">
        <f t="shared" ref="G5:G12" si="0">F5*E5</f>
        <v>0</v>
      </c>
    </row>
    <row r="6" spans="1:7" ht="47.25" customHeight="1" x14ac:dyDescent="0.25">
      <c r="A6" s="9">
        <v>3</v>
      </c>
      <c r="B6" s="10" t="s">
        <v>35</v>
      </c>
      <c r="C6" s="11" t="s">
        <v>52</v>
      </c>
      <c r="D6" s="9" t="s">
        <v>36</v>
      </c>
      <c r="E6" s="9">
        <v>8667</v>
      </c>
      <c r="F6" s="4">
        <f>MATKA!C9</f>
        <v>0</v>
      </c>
      <c r="G6" s="3">
        <f t="shared" si="0"/>
        <v>0</v>
      </c>
    </row>
    <row r="7" spans="1:7" ht="46.5" customHeight="1" x14ac:dyDescent="0.25">
      <c r="A7" s="20">
        <v>4</v>
      </c>
      <c r="B7" s="10" t="s">
        <v>41</v>
      </c>
      <c r="C7" s="21" t="s">
        <v>83</v>
      </c>
      <c r="D7" s="20" t="s">
        <v>36</v>
      </c>
      <c r="E7" s="20">
        <f>8667</f>
        <v>8667</v>
      </c>
      <c r="F7" s="4">
        <f>MATKA!C12</f>
        <v>0</v>
      </c>
      <c r="G7" s="3">
        <f t="shared" ref="G7" si="1">F7*E7</f>
        <v>0</v>
      </c>
    </row>
    <row r="8" spans="1:7" ht="46.5" customHeight="1" x14ac:dyDescent="0.25">
      <c r="A8" s="20">
        <v>5</v>
      </c>
      <c r="B8" s="10" t="s">
        <v>41</v>
      </c>
      <c r="C8" s="21" t="s">
        <v>82</v>
      </c>
      <c r="D8" s="9" t="s">
        <v>36</v>
      </c>
      <c r="E8" s="9">
        <v>130</v>
      </c>
      <c r="F8" s="4">
        <f>MATKA!C12</f>
        <v>0</v>
      </c>
      <c r="G8" s="3">
        <f t="shared" si="0"/>
        <v>0</v>
      </c>
    </row>
    <row r="9" spans="1:7" ht="63.75" customHeight="1" x14ac:dyDescent="0.25">
      <c r="A9" s="20">
        <v>6</v>
      </c>
      <c r="B9" s="10" t="s">
        <v>42</v>
      </c>
      <c r="C9" s="11" t="s">
        <v>43</v>
      </c>
      <c r="D9" s="9" t="s">
        <v>36</v>
      </c>
      <c r="E9" s="9">
        <f>7647</f>
        <v>7647</v>
      </c>
      <c r="F9" s="4">
        <f>MATKA!C17</f>
        <v>0</v>
      </c>
      <c r="G9" s="3">
        <f t="shared" si="0"/>
        <v>0</v>
      </c>
    </row>
    <row r="10" spans="1:7" ht="62.25" customHeight="1" x14ac:dyDescent="0.25">
      <c r="A10" s="20">
        <v>7</v>
      </c>
      <c r="B10" s="10" t="s">
        <v>44</v>
      </c>
      <c r="C10" s="11" t="s">
        <v>45</v>
      </c>
      <c r="D10" s="9" t="s">
        <v>36</v>
      </c>
      <c r="E10" s="9">
        <f>E9</f>
        <v>7647</v>
      </c>
      <c r="F10" s="4">
        <f>MATKA!C18</f>
        <v>0</v>
      </c>
      <c r="G10" s="3">
        <f t="shared" si="0"/>
        <v>0</v>
      </c>
    </row>
    <row r="11" spans="1:7" ht="64.5" customHeight="1" x14ac:dyDescent="0.25">
      <c r="A11" s="20">
        <v>8</v>
      </c>
      <c r="B11" s="10" t="s">
        <v>44</v>
      </c>
      <c r="C11" s="11" t="s">
        <v>46</v>
      </c>
      <c r="D11" s="9" t="s">
        <v>36</v>
      </c>
      <c r="E11" s="9">
        <f>E9</f>
        <v>7647</v>
      </c>
      <c r="F11" s="4">
        <f>MATKA!C19</f>
        <v>0</v>
      </c>
      <c r="G11" s="3">
        <f t="shared" si="0"/>
        <v>0</v>
      </c>
    </row>
    <row r="12" spans="1:7" ht="28.5" customHeight="1" x14ac:dyDescent="0.25">
      <c r="A12" s="20">
        <v>9</v>
      </c>
      <c r="B12" s="10" t="s">
        <v>47</v>
      </c>
      <c r="C12" s="11" t="s">
        <v>48</v>
      </c>
      <c r="D12" s="9" t="s">
        <v>36</v>
      </c>
      <c r="E12" s="9">
        <f>E5-7*36</f>
        <v>3211.5</v>
      </c>
      <c r="F12" s="4">
        <f>MATKA!C22</f>
        <v>0</v>
      </c>
      <c r="G12" s="3">
        <f t="shared" si="0"/>
        <v>0</v>
      </c>
    </row>
    <row r="13" spans="1:7" x14ac:dyDescent="0.25">
      <c r="A13" s="2"/>
      <c r="B13" s="2"/>
      <c r="C13" s="1"/>
      <c r="D13" s="2"/>
      <c r="E13" s="27" t="s">
        <v>49</v>
      </c>
      <c r="F13" s="27"/>
      <c r="G13" s="6">
        <f>SUM(G4:G12)</f>
        <v>0</v>
      </c>
    </row>
    <row r="14" spans="1:7" x14ac:dyDescent="0.25">
      <c r="A14" s="2"/>
      <c r="B14" s="2"/>
      <c r="C14" s="1"/>
      <c r="D14" s="2"/>
      <c r="E14" s="27" t="s">
        <v>50</v>
      </c>
      <c r="F14" s="27"/>
      <c r="G14" s="6">
        <f>G13*0.23</f>
        <v>0</v>
      </c>
    </row>
    <row r="15" spans="1:7" x14ac:dyDescent="0.25">
      <c r="A15" s="2"/>
      <c r="B15" s="2"/>
      <c r="C15" s="1"/>
      <c r="D15" s="2"/>
      <c r="E15" s="27" t="s">
        <v>51</v>
      </c>
      <c r="F15" s="27"/>
      <c r="G15" s="6">
        <f>G13*1.23</f>
        <v>0</v>
      </c>
    </row>
    <row r="16" spans="1:7" x14ac:dyDescent="0.25">
      <c r="G16" s="7"/>
    </row>
  </sheetData>
  <mergeCells count="5">
    <mergeCell ref="A1:G1"/>
    <mergeCell ref="A2:G2"/>
    <mergeCell ref="E13:F13"/>
    <mergeCell ref="E14:F14"/>
    <mergeCell ref="E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E12" sqref="E12"/>
    </sheetView>
  </sheetViews>
  <sheetFormatPr defaultRowHeight="15" x14ac:dyDescent="0.25"/>
  <cols>
    <col min="1" max="1" width="5.14062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4.42578125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9" t="s">
        <v>78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9">
        <v>1.6830000000000001</v>
      </c>
      <c r="F4" s="4">
        <f>MATKA!$C$6</f>
        <v>0</v>
      </c>
      <c r="G4" s="3">
        <f>F4*E4</f>
        <v>0</v>
      </c>
    </row>
    <row r="5" spans="1:7" ht="56.25" customHeight="1" x14ac:dyDescent="0.25">
      <c r="A5" s="9">
        <v>2</v>
      </c>
      <c r="B5" s="10" t="s">
        <v>54</v>
      </c>
      <c r="C5" s="11" t="s">
        <v>55</v>
      </c>
      <c r="D5" s="9" t="s">
        <v>36</v>
      </c>
      <c r="E5" s="9">
        <f>E4*1000*2*0.75</f>
        <v>2524.5</v>
      </c>
      <c r="F5" s="4">
        <f>MATKA!$C$7</f>
        <v>0</v>
      </c>
      <c r="G5" s="3">
        <f t="shared" ref="G5:G14" si="0">F5*E5</f>
        <v>0</v>
      </c>
    </row>
    <row r="6" spans="1:7" ht="47.25" customHeight="1" x14ac:dyDescent="0.25">
      <c r="A6" s="9">
        <v>3</v>
      </c>
      <c r="B6" s="10" t="s">
        <v>35</v>
      </c>
      <c r="C6" s="11" t="s">
        <v>52</v>
      </c>
      <c r="D6" s="9" t="s">
        <v>36</v>
      </c>
      <c r="E6" s="9">
        <f>7637-E7</f>
        <v>4773</v>
      </c>
      <c r="F6" s="4">
        <f>MATKA!C9</f>
        <v>0</v>
      </c>
      <c r="G6" s="3">
        <f t="shared" si="0"/>
        <v>0</v>
      </c>
    </row>
    <row r="7" spans="1:7" ht="42.75" customHeight="1" x14ac:dyDescent="0.25">
      <c r="A7" s="9">
        <v>4</v>
      </c>
      <c r="B7" s="10" t="s">
        <v>37</v>
      </c>
      <c r="C7" s="11" t="s">
        <v>38</v>
      </c>
      <c r="D7" s="9" t="s">
        <v>36</v>
      </c>
      <c r="E7" s="9">
        <v>2864</v>
      </c>
      <c r="F7" s="4">
        <f>MATKA!C10</f>
        <v>0</v>
      </c>
      <c r="G7" s="3">
        <f t="shared" si="0"/>
        <v>0</v>
      </c>
    </row>
    <row r="8" spans="1:7" ht="51.75" customHeight="1" x14ac:dyDescent="0.25">
      <c r="A8" s="9">
        <v>5</v>
      </c>
      <c r="B8" s="10" t="s">
        <v>39</v>
      </c>
      <c r="C8" s="19" t="s">
        <v>53</v>
      </c>
      <c r="D8" s="9" t="s">
        <v>36</v>
      </c>
      <c r="E8" s="9">
        <f>E7</f>
        <v>2864</v>
      </c>
      <c r="F8" s="4">
        <f>MATKA!C11</f>
        <v>0</v>
      </c>
      <c r="G8" s="3">
        <f t="shared" si="0"/>
        <v>0</v>
      </c>
    </row>
    <row r="9" spans="1:7" ht="39" customHeight="1" x14ac:dyDescent="0.25">
      <c r="A9" s="9">
        <v>6</v>
      </c>
      <c r="B9" s="10" t="s">
        <v>40</v>
      </c>
      <c r="C9" s="19" t="s">
        <v>79</v>
      </c>
      <c r="D9" s="9" t="s">
        <v>36</v>
      </c>
      <c r="E9" s="9">
        <f>E7</f>
        <v>2864</v>
      </c>
      <c r="F9" s="4">
        <f>MATKA!C13</f>
        <v>0</v>
      </c>
      <c r="G9" s="3">
        <f t="shared" si="0"/>
        <v>0</v>
      </c>
    </row>
    <row r="10" spans="1:7" ht="46.5" customHeight="1" x14ac:dyDescent="0.25">
      <c r="A10" s="20">
        <v>7</v>
      </c>
      <c r="B10" s="10" t="s">
        <v>41</v>
      </c>
      <c r="C10" s="21" t="s">
        <v>84</v>
      </c>
      <c r="D10" s="20" t="s">
        <v>36</v>
      </c>
      <c r="E10" s="20">
        <f>E6</f>
        <v>4773</v>
      </c>
      <c r="F10" s="4">
        <f>MATKA!C12</f>
        <v>0</v>
      </c>
      <c r="G10" s="3">
        <f t="shared" ref="G10" si="1">F10*E10</f>
        <v>0</v>
      </c>
    </row>
    <row r="11" spans="1:7" ht="46.5" customHeight="1" x14ac:dyDescent="0.25">
      <c r="A11" s="20">
        <v>8</v>
      </c>
      <c r="B11" s="10" t="s">
        <v>41</v>
      </c>
      <c r="C11" s="21" t="s">
        <v>82</v>
      </c>
      <c r="D11" s="9" t="s">
        <v>36</v>
      </c>
      <c r="E11" s="9">
        <v>406</v>
      </c>
      <c r="F11" s="4">
        <f>MATKA!C12</f>
        <v>0</v>
      </c>
      <c r="G11" s="3">
        <f t="shared" si="0"/>
        <v>0</v>
      </c>
    </row>
    <row r="12" spans="1:7" ht="63.75" customHeight="1" x14ac:dyDescent="0.25">
      <c r="A12" s="20">
        <v>9</v>
      </c>
      <c r="B12" s="10" t="s">
        <v>42</v>
      </c>
      <c r="C12" s="11" t="s">
        <v>43</v>
      </c>
      <c r="D12" s="9" t="s">
        <v>36</v>
      </c>
      <c r="E12" s="9">
        <f>6943</f>
        <v>6943</v>
      </c>
      <c r="F12" s="4">
        <f>MATKA!C17</f>
        <v>0</v>
      </c>
      <c r="G12" s="3">
        <f t="shared" si="0"/>
        <v>0</v>
      </c>
    </row>
    <row r="13" spans="1:7" ht="62.25" customHeight="1" x14ac:dyDescent="0.25">
      <c r="A13" s="20">
        <v>10</v>
      </c>
      <c r="B13" s="10" t="s">
        <v>44</v>
      </c>
      <c r="C13" s="11" t="s">
        <v>45</v>
      </c>
      <c r="D13" s="9" t="s">
        <v>36</v>
      </c>
      <c r="E13" s="9">
        <f>E12</f>
        <v>6943</v>
      </c>
      <c r="F13" s="4">
        <f>MATKA!C18</f>
        <v>0</v>
      </c>
      <c r="G13" s="3">
        <f t="shared" si="0"/>
        <v>0</v>
      </c>
    </row>
    <row r="14" spans="1:7" ht="28.5" customHeight="1" x14ac:dyDescent="0.25">
      <c r="A14" s="20">
        <v>11</v>
      </c>
      <c r="B14" s="10" t="s">
        <v>47</v>
      </c>
      <c r="C14" s="11" t="s">
        <v>48</v>
      </c>
      <c r="D14" s="9" t="s">
        <v>36</v>
      </c>
      <c r="E14" s="9">
        <f>E5-37*7</f>
        <v>2265.5</v>
      </c>
      <c r="F14" s="4">
        <f>MATKA!C22</f>
        <v>0</v>
      </c>
      <c r="G14" s="3">
        <f t="shared" si="0"/>
        <v>0</v>
      </c>
    </row>
    <row r="15" spans="1:7" x14ac:dyDescent="0.25">
      <c r="A15" s="2"/>
      <c r="B15" s="2"/>
      <c r="C15" s="1"/>
      <c r="D15" s="2"/>
      <c r="E15" s="27" t="s">
        <v>49</v>
      </c>
      <c r="F15" s="27"/>
      <c r="G15" s="6">
        <f>SUM(G4:G14)</f>
        <v>0</v>
      </c>
    </row>
    <row r="16" spans="1:7" x14ac:dyDescent="0.25">
      <c r="A16" s="2"/>
      <c r="B16" s="2"/>
      <c r="C16" s="1"/>
      <c r="D16" s="2"/>
      <c r="E16" s="27" t="s">
        <v>50</v>
      </c>
      <c r="F16" s="27"/>
      <c r="G16" s="6">
        <f>G15*0.23</f>
        <v>0</v>
      </c>
    </row>
    <row r="17" spans="1:7" x14ac:dyDescent="0.25">
      <c r="A17" s="2"/>
      <c r="B17" s="2"/>
      <c r="C17" s="1"/>
      <c r="D17" s="2"/>
      <c r="E17" s="27" t="s">
        <v>51</v>
      </c>
      <c r="F17" s="27"/>
      <c r="G17" s="6">
        <f>G15*1.23</f>
        <v>0</v>
      </c>
    </row>
    <row r="18" spans="1:7" x14ac:dyDescent="0.25">
      <c r="G18" s="7"/>
    </row>
  </sheetData>
  <mergeCells count="5">
    <mergeCell ref="A1:G1"/>
    <mergeCell ref="A2:G2"/>
    <mergeCell ref="E15:F15"/>
    <mergeCell ref="E16:F16"/>
    <mergeCell ref="E17:F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12" sqref="E12"/>
    </sheetView>
  </sheetViews>
  <sheetFormatPr defaultRowHeight="15" x14ac:dyDescent="0.25"/>
  <cols>
    <col min="1" max="1" width="5.140625" style="5" customWidth="1"/>
    <col min="2" max="2" width="10" style="5" customWidth="1"/>
    <col min="3" max="3" width="46" style="8" customWidth="1"/>
    <col min="4" max="5" width="9.140625" style="5"/>
    <col min="6" max="6" width="11.28515625" style="5" bestFit="1" customWidth="1"/>
    <col min="7" max="7" width="13.85546875" style="5" customWidth="1"/>
    <col min="8" max="16384" width="9.140625" style="5"/>
  </cols>
  <sheetData>
    <row r="1" spans="1:7" ht="18.75" x14ac:dyDescent="0.25">
      <c r="A1" s="24" t="str">
        <f>MATKA!C4</f>
        <v>KOSZTORYS OFERTOWY</v>
      </c>
      <c r="B1" s="24"/>
      <c r="C1" s="24"/>
      <c r="D1" s="24"/>
      <c r="E1" s="24"/>
      <c r="F1" s="24"/>
      <c r="G1" s="24"/>
    </row>
    <row r="2" spans="1:7" x14ac:dyDescent="0.25">
      <c r="A2" s="28" t="s">
        <v>63</v>
      </c>
      <c r="B2" s="26"/>
      <c r="C2" s="26"/>
      <c r="D2" s="26"/>
      <c r="E2" s="26"/>
      <c r="F2" s="26"/>
      <c r="G2" s="26"/>
    </row>
    <row r="3" spans="1:7" x14ac:dyDescent="0.25">
      <c r="A3" s="9" t="s">
        <v>17</v>
      </c>
      <c r="B3" s="10" t="s">
        <v>18</v>
      </c>
      <c r="C3" s="10" t="s">
        <v>19</v>
      </c>
      <c r="D3" s="9" t="s">
        <v>20</v>
      </c>
      <c r="E3" s="9" t="s">
        <v>21</v>
      </c>
      <c r="F3" s="9" t="s">
        <v>22</v>
      </c>
      <c r="G3" s="9" t="s">
        <v>23</v>
      </c>
    </row>
    <row r="4" spans="1:7" ht="55.5" customHeight="1" x14ac:dyDescent="0.25">
      <c r="A4" s="9">
        <v>1</v>
      </c>
      <c r="B4" s="10" t="s">
        <v>24</v>
      </c>
      <c r="C4" s="11" t="s">
        <v>25</v>
      </c>
      <c r="D4" s="9" t="s">
        <v>26</v>
      </c>
      <c r="E4" s="9">
        <f>1.493+0.16</f>
        <v>1.653</v>
      </c>
      <c r="F4" s="4">
        <f>MATKA!$C$6</f>
        <v>0</v>
      </c>
      <c r="G4" s="3">
        <f>F4*E4</f>
        <v>0</v>
      </c>
    </row>
    <row r="5" spans="1:7" ht="46.5" customHeight="1" x14ac:dyDescent="0.25">
      <c r="A5" s="9">
        <v>2</v>
      </c>
      <c r="B5" s="10" t="s">
        <v>27</v>
      </c>
      <c r="C5" s="11" t="s">
        <v>28</v>
      </c>
      <c r="D5" s="9" t="s">
        <v>29</v>
      </c>
      <c r="E5" s="9">
        <v>8</v>
      </c>
      <c r="F5" s="4">
        <f>MATKA!$C$8</f>
        <v>0</v>
      </c>
      <c r="G5" s="3">
        <f t="shared" ref="G5:G15" si="0">F5*E5</f>
        <v>0</v>
      </c>
    </row>
    <row r="6" spans="1:7" ht="30.75" customHeight="1" x14ac:dyDescent="0.25">
      <c r="A6" s="9">
        <v>3</v>
      </c>
      <c r="B6" s="10" t="s">
        <v>30</v>
      </c>
      <c r="C6" s="11" t="s">
        <v>31</v>
      </c>
      <c r="D6" s="9" t="s">
        <v>32</v>
      </c>
      <c r="E6" s="9">
        <v>2</v>
      </c>
      <c r="F6" s="4">
        <f>MATKA!$C$21</f>
        <v>0</v>
      </c>
      <c r="G6" s="3">
        <f t="shared" si="0"/>
        <v>0</v>
      </c>
    </row>
    <row r="7" spans="1:7" ht="56.25" customHeight="1" x14ac:dyDescent="0.25">
      <c r="A7" s="9">
        <v>4</v>
      </c>
      <c r="B7" s="10" t="s">
        <v>33</v>
      </c>
      <c r="C7" s="11" t="s">
        <v>34</v>
      </c>
      <c r="D7" s="9" t="s">
        <v>29</v>
      </c>
      <c r="E7" s="9">
        <v>8</v>
      </c>
      <c r="F7" s="4">
        <f>MATKA!$C$20</f>
        <v>0</v>
      </c>
      <c r="G7" s="3">
        <f t="shared" si="0"/>
        <v>0</v>
      </c>
    </row>
    <row r="8" spans="1:7" ht="56.25" customHeight="1" x14ac:dyDescent="0.25">
      <c r="A8" s="9">
        <v>5</v>
      </c>
      <c r="B8" s="10" t="s">
        <v>54</v>
      </c>
      <c r="C8" s="11" t="s">
        <v>55</v>
      </c>
      <c r="D8" s="9" t="s">
        <v>36</v>
      </c>
      <c r="E8" s="9">
        <f>E4*1000*2*0.75</f>
        <v>2479.5</v>
      </c>
      <c r="F8" s="4">
        <f>MATKA!$C$7</f>
        <v>0</v>
      </c>
      <c r="G8" s="3">
        <f t="shared" si="0"/>
        <v>0</v>
      </c>
    </row>
    <row r="9" spans="1:7" ht="47.25" customHeight="1" x14ac:dyDescent="0.25">
      <c r="A9" s="9">
        <v>6</v>
      </c>
      <c r="B9" s="10" t="s">
        <v>35</v>
      </c>
      <c r="C9" s="11" t="s">
        <v>52</v>
      </c>
      <c r="D9" s="9" t="s">
        <v>36</v>
      </c>
      <c r="E9" s="9">
        <f>6672+160*4.4+10</f>
        <v>7386</v>
      </c>
      <c r="F9" s="4">
        <f>MATKA!C9</f>
        <v>0</v>
      </c>
      <c r="G9" s="3">
        <f t="shared" si="0"/>
        <v>0</v>
      </c>
    </row>
    <row r="10" spans="1:7" ht="46.5" customHeight="1" x14ac:dyDescent="0.25">
      <c r="A10" s="20">
        <v>7</v>
      </c>
      <c r="B10" s="10" t="s">
        <v>41</v>
      </c>
      <c r="C10" s="21" t="s">
        <v>83</v>
      </c>
      <c r="D10" s="20" t="s">
        <v>36</v>
      </c>
      <c r="E10" s="20">
        <f>E9</f>
        <v>7386</v>
      </c>
      <c r="F10" s="4">
        <f>MATKA!C12</f>
        <v>0</v>
      </c>
      <c r="G10" s="3">
        <f t="shared" ref="G10" si="1">F10*E10</f>
        <v>0</v>
      </c>
    </row>
    <row r="11" spans="1:7" ht="46.5" customHeight="1" x14ac:dyDescent="0.25">
      <c r="A11" s="20">
        <v>8</v>
      </c>
      <c r="B11" s="10" t="s">
        <v>41</v>
      </c>
      <c r="C11" s="21" t="s">
        <v>82</v>
      </c>
      <c r="D11" s="9" t="s">
        <v>36</v>
      </c>
      <c r="E11" s="9">
        <v>85</v>
      </c>
      <c r="F11" s="4">
        <f>MATKA!C12</f>
        <v>0</v>
      </c>
      <c r="G11" s="3">
        <f t="shared" si="0"/>
        <v>0</v>
      </c>
    </row>
    <row r="12" spans="1:7" ht="63.75" customHeight="1" x14ac:dyDescent="0.25">
      <c r="A12" s="20">
        <v>9</v>
      </c>
      <c r="B12" s="10" t="s">
        <v>42</v>
      </c>
      <c r="C12" s="11" t="s">
        <v>43</v>
      </c>
      <c r="D12" s="9" t="s">
        <v>36</v>
      </c>
      <c r="E12" s="9">
        <f>6065+160*4+10</f>
        <v>6715</v>
      </c>
      <c r="F12" s="4">
        <f>MATKA!C17</f>
        <v>0</v>
      </c>
      <c r="G12" s="3">
        <f t="shared" si="0"/>
        <v>0</v>
      </c>
    </row>
    <row r="13" spans="1:7" ht="62.25" customHeight="1" x14ac:dyDescent="0.25">
      <c r="A13" s="20">
        <v>10</v>
      </c>
      <c r="B13" s="10" t="s">
        <v>44</v>
      </c>
      <c r="C13" s="11" t="s">
        <v>45</v>
      </c>
      <c r="D13" s="9" t="s">
        <v>36</v>
      </c>
      <c r="E13" s="9">
        <f>E12</f>
        <v>6715</v>
      </c>
      <c r="F13" s="4">
        <f>MATKA!C18</f>
        <v>0</v>
      </c>
      <c r="G13" s="3">
        <f t="shared" si="0"/>
        <v>0</v>
      </c>
    </row>
    <row r="14" spans="1:7" ht="64.5" customHeight="1" x14ac:dyDescent="0.25">
      <c r="A14" s="20">
        <v>11</v>
      </c>
      <c r="B14" s="10" t="s">
        <v>44</v>
      </c>
      <c r="C14" s="11" t="s">
        <v>46</v>
      </c>
      <c r="D14" s="9" t="s">
        <v>36</v>
      </c>
      <c r="E14" s="9">
        <f>E12</f>
        <v>6715</v>
      </c>
      <c r="F14" s="4">
        <f>MATKA!C19</f>
        <v>0</v>
      </c>
      <c r="G14" s="3">
        <f t="shared" si="0"/>
        <v>0</v>
      </c>
    </row>
    <row r="15" spans="1:7" ht="28.5" customHeight="1" x14ac:dyDescent="0.25">
      <c r="A15" s="20">
        <v>12</v>
      </c>
      <c r="B15" s="10" t="s">
        <v>47</v>
      </c>
      <c r="C15" s="11" t="s">
        <v>48</v>
      </c>
      <c r="D15" s="9" t="s">
        <v>36</v>
      </c>
      <c r="E15" s="9">
        <f>E8-27*7</f>
        <v>2290.5</v>
      </c>
      <c r="F15" s="4">
        <f>MATKA!C22</f>
        <v>0</v>
      </c>
      <c r="G15" s="3">
        <f t="shared" si="0"/>
        <v>0</v>
      </c>
    </row>
    <row r="16" spans="1:7" x14ac:dyDescent="0.25">
      <c r="A16" s="2"/>
      <c r="B16" s="2"/>
      <c r="C16" s="1"/>
      <c r="D16" s="2"/>
      <c r="E16" s="27" t="s">
        <v>49</v>
      </c>
      <c r="F16" s="27"/>
      <c r="G16" s="6">
        <f>SUM(G4:G15)</f>
        <v>0</v>
      </c>
    </row>
    <row r="17" spans="1:7" x14ac:dyDescent="0.25">
      <c r="A17" s="2"/>
      <c r="B17" s="2"/>
      <c r="C17" s="1"/>
      <c r="D17" s="2"/>
      <c r="E17" s="27" t="s">
        <v>50</v>
      </c>
      <c r="F17" s="27"/>
      <c r="G17" s="6">
        <f>G16*0.23</f>
        <v>0</v>
      </c>
    </row>
    <row r="18" spans="1:7" x14ac:dyDescent="0.25">
      <c r="A18" s="2"/>
      <c r="B18" s="2"/>
      <c r="C18" s="1"/>
      <c r="D18" s="2"/>
      <c r="E18" s="27" t="s">
        <v>51</v>
      </c>
      <c r="F18" s="27"/>
      <c r="G18" s="6">
        <f>G16*1.23</f>
        <v>0</v>
      </c>
    </row>
    <row r="19" spans="1:7" x14ac:dyDescent="0.25">
      <c r="G19" s="7"/>
    </row>
  </sheetData>
  <mergeCells count="5">
    <mergeCell ref="A1:G1"/>
    <mergeCell ref="A2:G2"/>
    <mergeCell ref="E16:F16"/>
    <mergeCell ref="E17:F17"/>
    <mergeCell ref="E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MATKA</vt:lpstr>
      <vt:lpstr>KONRADOWO</vt:lpstr>
      <vt:lpstr>NOWY CIECHOCINEK</vt:lpstr>
      <vt:lpstr>OPOKI-GRABIE</vt:lpstr>
      <vt:lpstr>OSTROWĄS-PRZYBRANOWO</vt:lpstr>
      <vt:lpstr>PLEBANKA-SŁOMKOWO</vt:lpstr>
      <vt:lpstr>POCZAŁKOWO-PININO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2018-02-19T13:05:24Z</dcterms:modified>
</cp:coreProperties>
</file>